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<sst xmlns="http://schemas.openxmlformats.org/spreadsheetml/2006/main" count="113" uniqueCount="41">
  <si>
    <t>绿色部分是需要手动填写的购买金额及买入价格，售出的价格及份数。白色栏将公式复制即可自动填写。</t>
  </si>
  <si>
    <t>统计区</t>
  </si>
  <si>
    <t>手续费</t>
  </si>
  <si>
    <t>纯利</t>
  </si>
  <si>
    <t>买入区</t>
  </si>
  <si>
    <t>尝试改变某个基金的买入金额及买入价格即可知道怎么填写。手续费费率可自行调整，通常是0.15%和0.5%</t>
  </si>
  <si>
    <t>总额</t>
  </si>
  <si>
    <t>毛利</t>
  </si>
  <si>
    <t>效费比</t>
  </si>
  <si>
    <t>出售总金额</t>
  </si>
  <si>
    <t>基金代码</t>
  </si>
  <si>
    <t>基金名称</t>
  </si>
  <si>
    <t>合计/均价</t>
  </si>
  <si>
    <t>分红</t>
  </si>
  <si>
    <t>售出日期</t>
  </si>
  <si>
    <t>合计</t>
  </si>
  <si>
    <t>易方达中小盘</t>
  </si>
  <si>
    <t>目前价格</t>
  </si>
  <si>
    <t>金额</t>
  </si>
  <si>
    <t>买入价格</t>
  </si>
  <si>
    <t>动态盈利</t>
  </si>
  <si>
    <t>价格</t>
  </si>
  <si>
    <t>份数</t>
  </si>
  <si>
    <t>易方达消费</t>
  </si>
  <si>
    <t>中海医疗保健</t>
  </si>
  <si>
    <t>000011</t>
  </si>
  <si>
    <t>华夏大盘精选</t>
  </si>
  <si>
    <t>易方达医疗保健</t>
  </si>
  <si>
    <t>汇添富精选</t>
  </si>
  <si>
    <t>富国中证煤炭</t>
  </si>
  <si>
    <t>小计</t>
  </si>
  <si>
    <t>当前均价</t>
  </si>
  <si>
    <t>当前份数</t>
  </si>
  <si>
    <t>新购价格</t>
  </si>
  <si>
    <t>新购金额</t>
  </si>
  <si>
    <t>购入份数</t>
  </si>
  <si>
    <t>购后均价</t>
  </si>
  <si>
    <t>涨降幅度</t>
  </si>
  <si>
    <t>涨降百分比</t>
  </si>
  <si>
    <t>分析区</t>
  </si>
  <si>
    <t>说明：一般都是买跌卖涨，所以都是降幅百分比，越大越好。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</si>
</sst>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theme="6" tint="0.6"/>
      </top>
      <bottom/>
      <diagonal/>
    </border>
    <border>
      <left/>
      <right/>
      <top style="thick">
        <color theme="0" tint="-0.25"/>
      </top>
      <bottom/>
      <diagonal/>
    </border>
    <border>
      <left style="thick">
        <color theme="6" tint="0.6"/>
      </left>
      <right style="thick">
        <color theme="6" tint="0.6"/>
      </right>
      <top/>
      <bottom/>
      <diagonal/>
    </border>
    <border>
      <left style="thick">
        <color theme="6" tint="0.6"/>
      </left>
      <right style="thick">
        <color theme="6" tint="0.6"/>
      </right>
      <top style="thick">
        <color theme="6" tint="0.6"/>
      </top>
      <bottom/>
      <diagonal/>
    </border>
    <border>
      <left style="thick">
        <color theme="6" tint="0.6"/>
      </left>
      <right style="thick">
        <color theme="6" tint="0.6"/>
      </right>
      <top style="thick">
        <color theme="0" tint="-0.25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2" fillId="3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tabSelected="1" zoomScale="85" zoomScaleNormal="85" workbookViewId="0">
      <selection activeCell="K32" sqref="K32"/>
    </sheetView>
  </sheetViews>
  <sheetFormatPr defaultColWidth="9" defaultRowHeight="21" customHeight="1"/>
  <cols>
    <col min="1" max="1" width="8.25" style="3" customWidth="1"/>
    <col min="2" max="2" width="15" style="3" customWidth="1"/>
    <col min="3" max="8" width="8.625" style="3" customWidth="1"/>
    <col min="9" max="10" width="9" style="3" customWidth="1"/>
    <col min="11" max="11" width="9" style="3"/>
    <col min="12" max="12" width="9" style="3" customWidth="1"/>
    <col min="13" max="13" width="9" style="3"/>
    <col min="14" max="14" width="11.5" style="3"/>
    <col min="15" max="15" width="9" style="3"/>
    <col min="16" max="16" width="9.00833333333333" style="4" customWidth="1"/>
    <col min="17" max="17" width="9.375" style="5"/>
    <col min="18" max="18" width="9.00833333333333" style="3" customWidth="1"/>
    <col min="19" max="19" width="9" style="3"/>
    <col min="20" max="20" width="10.375" style="3"/>
    <col min="21" max="16384" width="9" style="3"/>
  </cols>
  <sheetData>
    <row r="1" customHeight="1" spans="1:17">
      <c r="A1" s="3" t="s">
        <v>0</v>
      </c>
      <c r="L1" s="3" t="s">
        <v>1</v>
      </c>
      <c r="M1" s="3" t="s">
        <v>2</v>
      </c>
      <c r="N1" s="13">
        <f>N7+N11+N15+N19+N23+N27+N31</f>
        <v>0.53</v>
      </c>
      <c r="O1" s="3" t="s">
        <v>3</v>
      </c>
      <c r="P1" s="14">
        <f>P2-N1</f>
        <v>30.0282769692705</v>
      </c>
      <c r="Q1" s="21"/>
    </row>
    <row r="2" customHeight="1" spans="1:20">
      <c r="A2" s="3" t="s">
        <v>4</v>
      </c>
      <c r="B2" s="3" t="s">
        <v>5</v>
      </c>
      <c r="M2" s="3" t="s">
        <v>6</v>
      </c>
      <c r="N2" s="13">
        <f>SUM(N4+N8+N12+N16+N20+N24+N28)</f>
        <v>400</v>
      </c>
      <c r="O2" s="3" t="s">
        <v>7</v>
      </c>
      <c r="P2" s="14">
        <f>(P5+P9+P13+P17+P21+P25+P29)+P3</f>
        <v>30.5582769692705</v>
      </c>
      <c r="Q2" s="21" t="s">
        <v>8</v>
      </c>
      <c r="R2" s="20">
        <f>P1/(N2-N1)</f>
        <v>0.0751702930614827</v>
      </c>
      <c r="S2" s="3" t="s">
        <v>9</v>
      </c>
      <c r="T2" s="8">
        <f>R4+R8+R12+R16+R20+R24+R28</f>
        <v>54.225954</v>
      </c>
    </row>
    <row r="3" customHeight="1" spans="1:19">
      <c r="A3" s="3" t="s">
        <v>10</v>
      </c>
      <c r="B3" s="3" t="s">
        <v>11</v>
      </c>
      <c r="C3" s="3">
        <v>3.19</v>
      </c>
      <c r="D3" s="3">
        <v>3.23</v>
      </c>
      <c r="N3" s="3" t="s">
        <v>12</v>
      </c>
      <c r="O3" s="3" t="s">
        <v>13</v>
      </c>
      <c r="P3" s="15">
        <f>P15*N14</f>
        <v>5.35944983161506</v>
      </c>
      <c r="Q3" s="3" t="s">
        <v>14</v>
      </c>
      <c r="R3" s="3" t="s">
        <v>15</v>
      </c>
      <c r="S3" s="3">
        <v>3.27</v>
      </c>
    </row>
    <row r="4" s="1" customFormat="1" customHeight="1" spans="1:19">
      <c r="A4" s="1">
        <v>110011</v>
      </c>
      <c r="B4" s="1" t="s">
        <v>16</v>
      </c>
      <c r="C4" s="6">
        <v>50</v>
      </c>
      <c r="D4" s="6">
        <v>20</v>
      </c>
      <c r="E4" s="6"/>
      <c r="F4" s="6"/>
      <c r="G4" s="6"/>
      <c r="H4" s="6"/>
      <c r="I4" s="6"/>
      <c r="J4" s="6"/>
      <c r="K4" s="6"/>
      <c r="L4" s="6"/>
      <c r="M4" s="6"/>
      <c r="N4" s="1">
        <f>SUM(C4:M4)</f>
        <v>70</v>
      </c>
      <c r="O4" s="4" t="s">
        <v>17</v>
      </c>
      <c r="P4" s="16">
        <v>4.7678</v>
      </c>
      <c r="Q4" s="22" t="s">
        <v>18</v>
      </c>
      <c r="R4" s="8">
        <f t="shared" ref="R4:R8" si="0">SUM(S4:W4)</f>
        <v>54.225954</v>
      </c>
      <c r="S4" s="23">
        <f>S5*S6-S7</f>
        <v>54.225954</v>
      </c>
    </row>
    <row r="5" customHeight="1" spans="2:23">
      <c r="B5" s="3" t="s">
        <v>19</v>
      </c>
      <c r="C5" s="7">
        <v>4.3677</v>
      </c>
      <c r="D5" s="7">
        <v>4.3749</v>
      </c>
      <c r="E5" s="7"/>
      <c r="F5" s="7"/>
      <c r="G5" s="7"/>
      <c r="H5" s="7"/>
      <c r="I5" s="7"/>
      <c r="J5" s="7"/>
      <c r="K5" s="7"/>
      <c r="L5" s="7"/>
      <c r="M5" s="7"/>
      <c r="N5" s="11">
        <f>(N4-N7)/N6</f>
        <v>4.36975457642674</v>
      </c>
      <c r="O5" s="3" t="s">
        <v>20</v>
      </c>
      <c r="P5" s="15">
        <f>(N6*P4)-N4-N7</f>
        <v>6.16726265082874</v>
      </c>
      <c r="Q5" s="21" t="s">
        <v>21</v>
      </c>
      <c r="S5" s="7">
        <v>4.7678</v>
      </c>
      <c r="T5" s="7"/>
      <c r="U5" s="7"/>
      <c r="V5" s="7"/>
      <c r="W5" s="7"/>
    </row>
    <row r="6" customHeight="1" spans="2:23">
      <c r="B6" s="3" t="s">
        <v>22</v>
      </c>
      <c r="C6" s="8">
        <f>(C4-C7)/C5</f>
        <v>11.4316459463791</v>
      </c>
      <c r="D6" s="8">
        <f>(D4-D7)/D5</f>
        <v>4.56467576401746</v>
      </c>
      <c r="E6" s="8"/>
      <c r="F6" s="8"/>
      <c r="G6" s="8"/>
      <c r="H6" s="8"/>
      <c r="I6" s="8"/>
      <c r="J6" s="8"/>
      <c r="K6" s="8"/>
      <c r="L6" s="8"/>
      <c r="M6" s="8"/>
      <c r="N6" s="8">
        <f>SUM(C6:M6)</f>
        <v>15.9963217103966</v>
      </c>
      <c r="O6" s="3" t="s">
        <v>8</v>
      </c>
      <c r="P6" s="17">
        <f>P5/(C4-C7)</f>
        <v>0.123518178466428</v>
      </c>
      <c r="Q6" s="5" t="s">
        <v>22</v>
      </c>
      <c r="R6" s="3">
        <f t="shared" si="0"/>
        <v>11.43</v>
      </c>
      <c r="S6" s="7">
        <v>11.43</v>
      </c>
      <c r="T6" s="7"/>
      <c r="U6" s="7"/>
      <c r="V6" s="7"/>
      <c r="W6" s="7"/>
    </row>
    <row r="7" customHeight="1" spans="2:19">
      <c r="B7" s="3" t="s">
        <v>2</v>
      </c>
      <c r="C7" s="8">
        <f>ROUNDDOWN(0.0015*C4,2)</f>
        <v>0.07</v>
      </c>
      <c r="D7" s="8">
        <f>ROUNDDOWN(0.0015*D4,2)</f>
        <v>0.03</v>
      </c>
      <c r="E7" s="8"/>
      <c r="F7" s="8"/>
      <c r="G7" s="8"/>
      <c r="H7" s="8"/>
      <c r="I7" s="8"/>
      <c r="J7" s="8"/>
      <c r="K7" s="8"/>
      <c r="L7" s="8"/>
      <c r="M7" s="8"/>
      <c r="N7" s="3">
        <f t="shared" ref="N6:N10" si="1">SUM(C7:M7)</f>
        <v>0.1</v>
      </c>
      <c r="Q7" s="5" t="s">
        <v>2</v>
      </c>
      <c r="R7" s="3">
        <f t="shared" si="0"/>
        <v>0.27</v>
      </c>
      <c r="S7" s="8">
        <f>ROUNDDOWN(0.005*S5*S6,2)</f>
        <v>0.27</v>
      </c>
    </row>
    <row r="8" s="2" customFormat="1" customHeight="1" spans="1:19">
      <c r="A8" s="2">
        <v>110022</v>
      </c>
      <c r="B8" s="2" t="s">
        <v>23</v>
      </c>
      <c r="C8" s="9">
        <v>10</v>
      </c>
      <c r="D8" s="9">
        <v>10</v>
      </c>
      <c r="E8" s="9"/>
      <c r="F8" s="9"/>
      <c r="G8" s="9"/>
      <c r="H8" s="9"/>
      <c r="I8" s="9"/>
      <c r="J8" s="9"/>
      <c r="K8" s="9"/>
      <c r="L8" s="9"/>
      <c r="M8" s="9"/>
      <c r="N8" s="2">
        <f t="shared" si="1"/>
        <v>20</v>
      </c>
      <c r="O8" s="18" t="s">
        <v>17</v>
      </c>
      <c r="P8" s="19">
        <v>2.8329</v>
      </c>
      <c r="Q8" s="24" t="s">
        <v>18</v>
      </c>
      <c r="R8" s="8">
        <f t="shared" si="0"/>
        <v>0</v>
      </c>
      <c r="S8" s="23">
        <f>S9*S10-S11</f>
        <v>0</v>
      </c>
    </row>
    <row r="9" customFormat="1" customHeight="1" spans="2:23">
      <c r="B9" s="3" t="s">
        <v>19</v>
      </c>
      <c r="C9" s="7">
        <v>2.607</v>
      </c>
      <c r="D9" s="7">
        <v>2.586</v>
      </c>
      <c r="E9" s="7"/>
      <c r="F9" s="7"/>
      <c r="G9" s="7"/>
      <c r="H9" s="7"/>
      <c r="I9" s="10"/>
      <c r="J9" s="10"/>
      <c r="K9" s="10"/>
      <c r="L9" s="10"/>
      <c r="M9" s="10"/>
      <c r="N9" s="11">
        <f>(N8-N11)/N10</f>
        <v>2.59712944057568</v>
      </c>
      <c r="O9" s="3" t="s">
        <v>20</v>
      </c>
      <c r="P9" s="15">
        <f>(N10*P8)-N8-N11</f>
        <v>1.77380862412993</v>
      </c>
      <c r="Q9" s="21" t="s">
        <v>21</v>
      </c>
      <c r="R9" s="3"/>
      <c r="S9" s="10"/>
      <c r="T9" s="10"/>
      <c r="U9" s="10"/>
      <c r="V9" s="10"/>
      <c r="W9" s="10"/>
    </row>
    <row r="10" s="3" customFormat="1" customHeight="1" spans="2:23">
      <c r="B10" s="3" t="s">
        <v>22</v>
      </c>
      <c r="C10" s="3">
        <v>3.83</v>
      </c>
      <c r="D10" s="8">
        <f>(D8-D11)/D9</f>
        <v>3.8631090487239</v>
      </c>
      <c r="N10" s="8">
        <f t="shared" si="1"/>
        <v>7.6931090487239</v>
      </c>
      <c r="O10" s="3" t="s">
        <v>8</v>
      </c>
      <c r="P10" s="17">
        <f>P9/(C8-C11)</f>
        <v>0.177558420833827</v>
      </c>
      <c r="Q10" s="5" t="s">
        <v>22</v>
      </c>
      <c r="R10" s="3">
        <f t="shared" ref="R10:R12" si="2">SUM(S10:W10)</f>
        <v>3.83</v>
      </c>
      <c r="S10" s="7">
        <v>3.83</v>
      </c>
      <c r="T10" s="7"/>
      <c r="U10" s="7"/>
      <c r="V10" s="7"/>
      <c r="W10" s="7"/>
    </row>
    <row r="11" s="3" customFormat="1" customHeight="1" spans="2:19">
      <c r="B11" s="3" t="s">
        <v>2</v>
      </c>
      <c r="C11" s="8">
        <f>ROUNDDOWN(0.0015*C8,2)</f>
        <v>0.01</v>
      </c>
      <c r="D11" s="8">
        <f>ROUNDDOWN(0.0015*D8,2)</f>
        <v>0.01</v>
      </c>
      <c r="N11" s="3">
        <f t="shared" ref="N11:N14" si="3">SUM(C11:M11)</f>
        <v>0.02</v>
      </c>
      <c r="P11" s="4"/>
      <c r="Q11" s="5" t="s">
        <v>2</v>
      </c>
      <c r="R11" s="3">
        <f t="shared" si="2"/>
        <v>0</v>
      </c>
      <c r="S11" s="8">
        <f>ROUNDDOWN(0.005*S9*S10,2)</f>
        <v>0</v>
      </c>
    </row>
    <row r="12" s="2" customFormat="1" customHeight="1" spans="1:19">
      <c r="A12" s="2">
        <v>399011</v>
      </c>
      <c r="B12" s="2" t="s">
        <v>24</v>
      </c>
      <c r="C12" s="9">
        <v>100</v>
      </c>
      <c r="D12" s="9">
        <v>50</v>
      </c>
      <c r="E12" s="9"/>
      <c r="F12" s="9"/>
      <c r="G12" s="9"/>
      <c r="H12" s="9"/>
      <c r="I12" s="9"/>
      <c r="J12" s="9"/>
      <c r="K12" s="9"/>
      <c r="L12" s="9"/>
      <c r="M12" s="9"/>
      <c r="N12" s="2">
        <f t="shared" si="3"/>
        <v>150</v>
      </c>
      <c r="O12" s="18" t="s">
        <v>17</v>
      </c>
      <c r="P12" s="19">
        <v>1.6853</v>
      </c>
      <c r="Q12" s="24" t="s">
        <v>18</v>
      </c>
      <c r="R12" s="8">
        <f t="shared" si="2"/>
        <v>0</v>
      </c>
      <c r="S12" s="23">
        <f>S13*S14-S15</f>
        <v>0</v>
      </c>
    </row>
    <row r="13" customFormat="1" customHeight="1" spans="1:23">
      <c r="A13" s="3"/>
      <c r="B13" s="3" t="s">
        <v>19</v>
      </c>
      <c r="C13" s="7">
        <v>1.629</v>
      </c>
      <c r="D13" s="7">
        <v>1.605</v>
      </c>
      <c r="E13" s="7"/>
      <c r="F13" s="7"/>
      <c r="G13" s="7"/>
      <c r="H13" s="7"/>
      <c r="I13" s="10"/>
      <c r="J13" s="10"/>
      <c r="K13" s="10"/>
      <c r="L13" s="10"/>
      <c r="M13" s="10"/>
      <c r="N13" s="11">
        <f>(N12-N15)/N14</f>
        <v>1.620920108022</v>
      </c>
      <c r="O13" s="3" t="s">
        <v>20</v>
      </c>
      <c r="P13" s="15">
        <f>(N14*P12)-N12-N15</f>
        <v>5.50897933139416</v>
      </c>
      <c r="Q13" s="21" t="s">
        <v>21</v>
      </c>
      <c r="R13" s="3"/>
      <c r="S13" s="10"/>
      <c r="T13" s="10"/>
      <c r="U13" s="10"/>
      <c r="V13" s="10"/>
      <c r="W13" s="10"/>
    </row>
    <row r="14" s="3" customFormat="1" customHeight="1" spans="2:23">
      <c r="B14" s="3" t="s">
        <v>22</v>
      </c>
      <c r="C14" s="8">
        <f>(C12-C15)/C13</f>
        <v>61.2952731737262</v>
      </c>
      <c r="D14" s="8">
        <f>(D12-D15)/D13</f>
        <v>31.1090342679128</v>
      </c>
      <c r="N14" s="8">
        <f t="shared" si="3"/>
        <v>92.404307441639</v>
      </c>
      <c r="O14" s="3" t="s">
        <v>8</v>
      </c>
      <c r="P14" s="17">
        <f>P13/(C12-C15)</f>
        <v>0.0551725521421548</v>
      </c>
      <c r="Q14" s="5" t="s">
        <v>22</v>
      </c>
      <c r="R14" s="3">
        <f t="shared" ref="R14:R16" si="4">SUM(S14:W14)</f>
        <v>61.3</v>
      </c>
      <c r="S14" s="7">
        <v>61.3</v>
      </c>
      <c r="T14" s="7"/>
      <c r="U14" s="7"/>
      <c r="V14" s="7"/>
      <c r="W14" s="7"/>
    </row>
    <row r="15" s="3" customFormat="1" customHeight="1" spans="2:19">
      <c r="B15" s="3" t="s">
        <v>2</v>
      </c>
      <c r="C15" s="8">
        <f>ROUNDDOWN(0.0015*C12,2)</f>
        <v>0.15</v>
      </c>
      <c r="D15" s="8">
        <f>ROUNDDOWN(0.0015*D12,2)</f>
        <v>0.07</v>
      </c>
      <c r="N15" s="3">
        <f t="shared" ref="N15:N18" si="5">SUM(C15:M15)</f>
        <v>0.22</v>
      </c>
      <c r="O15" s="3" t="s">
        <v>13</v>
      </c>
      <c r="P15" s="4">
        <v>0.058</v>
      </c>
      <c r="Q15" s="5" t="s">
        <v>2</v>
      </c>
      <c r="R15" s="3">
        <f t="shared" si="4"/>
        <v>0</v>
      </c>
      <c r="S15" s="8">
        <f>ROUNDDOWN(0.005*S13*S14,2)</f>
        <v>0</v>
      </c>
    </row>
    <row r="16" s="2" customFormat="1" customHeight="1" spans="1:19">
      <c r="A16" s="25" t="s">
        <v>25</v>
      </c>
      <c r="B16" s="2" t="s">
        <v>26</v>
      </c>
      <c r="C16" s="9">
        <v>20</v>
      </c>
      <c r="D16" s="9">
        <v>20</v>
      </c>
      <c r="E16" s="9"/>
      <c r="F16" s="9"/>
      <c r="G16" s="9"/>
      <c r="H16" s="9"/>
      <c r="I16" s="9"/>
      <c r="J16" s="9"/>
      <c r="K16" s="9"/>
      <c r="L16" s="9"/>
      <c r="M16" s="9"/>
      <c r="N16" s="2">
        <f t="shared" si="5"/>
        <v>40</v>
      </c>
      <c r="O16" s="18" t="s">
        <v>17</v>
      </c>
      <c r="P16" s="19">
        <v>12.6582</v>
      </c>
      <c r="Q16" s="24" t="s">
        <v>18</v>
      </c>
      <c r="R16" s="8">
        <f t="shared" si="4"/>
        <v>0</v>
      </c>
      <c r="S16" s="23">
        <f>S17*S18-S19</f>
        <v>0</v>
      </c>
    </row>
    <row r="17" customFormat="1" customHeight="1" spans="1:23">
      <c r="A17" s="3"/>
      <c r="B17" s="3" t="s">
        <v>19</v>
      </c>
      <c r="C17" s="7">
        <v>12.126</v>
      </c>
      <c r="D17" s="10">
        <v>12.004</v>
      </c>
      <c r="E17" s="10"/>
      <c r="F17" s="10"/>
      <c r="G17" s="10"/>
      <c r="H17" s="10"/>
      <c r="I17" s="10"/>
      <c r="J17" s="10"/>
      <c r="K17" s="10"/>
      <c r="L17" s="10"/>
      <c r="M17" s="10"/>
      <c r="N17" s="11">
        <f>(N16-N19)/N18</f>
        <v>12.0646915872358</v>
      </c>
      <c r="O17" s="3" t="s">
        <v>20</v>
      </c>
      <c r="P17" s="15">
        <f>(N18*P16)-N16-N19</f>
        <v>1.8448016556744</v>
      </c>
      <c r="Q17" s="21" t="s">
        <v>21</v>
      </c>
      <c r="R17" s="3"/>
      <c r="S17" s="10"/>
      <c r="T17" s="10"/>
      <c r="U17" s="10"/>
      <c r="V17" s="10"/>
      <c r="W17" s="10"/>
    </row>
    <row r="18" s="3" customFormat="1" customHeight="1" spans="2:23">
      <c r="B18" s="3" t="s">
        <v>22</v>
      </c>
      <c r="C18" s="8">
        <f>(C16-C19)/C17</f>
        <v>1.64687448457859</v>
      </c>
      <c r="D18" s="8">
        <f>(D16-D19)/D17</f>
        <v>1.66361212929024</v>
      </c>
      <c r="N18" s="8">
        <f t="shared" si="5"/>
        <v>3.31048661386883</v>
      </c>
      <c r="O18" s="3" t="s">
        <v>8</v>
      </c>
      <c r="P18" s="17">
        <f>P17/(C16-C19)</f>
        <v>0.0923786507598597</v>
      </c>
      <c r="Q18" s="5" t="s">
        <v>22</v>
      </c>
      <c r="R18" s="3">
        <f t="shared" ref="R18:R20" si="6">SUM(S18:W18)</f>
        <v>0</v>
      </c>
      <c r="S18" s="7">
        <v>0</v>
      </c>
      <c r="T18" s="7"/>
      <c r="U18" s="7"/>
      <c r="V18" s="7"/>
      <c r="W18" s="7"/>
    </row>
    <row r="19" s="3" customFormat="1" customHeight="1" spans="2:19">
      <c r="B19" s="3" t="s">
        <v>2</v>
      </c>
      <c r="C19" s="8">
        <f>ROUNDDOWN(0.0015*C16,2)</f>
        <v>0.03</v>
      </c>
      <c r="D19" s="8">
        <f>ROUNDDOWN(0.0015*D16,2)</f>
        <v>0.03</v>
      </c>
      <c r="N19" s="3">
        <f t="shared" ref="N19:N22" si="7">SUM(C19:M19)</f>
        <v>0.06</v>
      </c>
      <c r="P19" s="4"/>
      <c r="Q19" s="5" t="s">
        <v>2</v>
      </c>
      <c r="R19" s="3">
        <f t="shared" si="6"/>
        <v>0</v>
      </c>
      <c r="S19" s="8">
        <f>ROUNDDOWN(0.005*S17*S18,2)</f>
        <v>0</v>
      </c>
    </row>
    <row r="20" s="2" customFormat="1" customHeight="1" spans="1:19">
      <c r="A20" s="2">
        <v>110023</v>
      </c>
      <c r="B20" s="2" t="s">
        <v>27</v>
      </c>
      <c r="C20" s="9">
        <v>50</v>
      </c>
      <c r="D20" s="9">
        <v>30</v>
      </c>
      <c r="E20" s="9"/>
      <c r="F20" s="9"/>
      <c r="G20" s="9"/>
      <c r="H20" s="9"/>
      <c r="I20" s="9"/>
      <c r="J20" s="9"/>
      <c r="K20" s="9"/>
      <c r="L20" s="9"/>
      <c r="M20" s="9"/>
      <c r="N20" s="2">
        <f t="shared" si="7"/>
        <v>80</v>
      </c>
      <c r="O20" s="18" t="s">
        <v>17</v>
      </c>
      <c r="P20" s="19">
        <v>2.5727</v>
      </c>
      <c r="Q20" s="24" t="s">
        <v>18</v>
      </c>
      <c r="R20" s="8">
        <f t="shared" si="6"/>
        <v>0</v>
      </c>
      <c r="S20" s="23">
        <f>S21*S22-S23</f>
        <v>0</v>
      </c>
    </row>
    <row r="21" customFormat="1" customHeight="1" spans="1:23">
      <c r="A21" s="3"/>
      <c r="B21" s="3" t="s">
        <v>19</v>
      </c>
      <c r="C21" s="7">
        <v>2.317</v>
      </c>
      <c r="D21" s="7">
        <v>2.334</v>
      </c>
      <c r="E21" s="10"/>
      <c r="F21" s="10"/>
      <c r="G21" s="10"/>
      <c r="H21" s="10"/>
      <c r="I21" s="10"/>
      <c r="J21" s="10"/>
      <c r="K21" s="10"/>
      <c r="L21" s="10"/>
      <c r="M21" s="10"/>
      <c r="N21" s="11">
        <f>(N20-N23)/N22</f>
        <v>2.32334616529233</v>
      </c>
      <c r="O21" s="3" t="s">
        <v>20</v>
      </c>
      <c r="P21" s="15">
        <f>(N22*P20)-N20-N23</f>
        <v>8.35421857852562</v>
      </c>
      <c r="Q21" s="21" t="s">
        <v>21</v>
      </c>
      <c r="R21" s="3"/>
      <c r="S21" s="10"/>
      <c r="T21" s="10"/>
      <c r="U21" s="10"/>
      <c r="V21" s="10"/>
      <c r="W21" s="10"/>
    </row>
    <row r="22" s="3" customFormat="1" customHeight="1" spans="2:23">
      <c r="B22" s="3" t="s">
        <v>22</v>
      </c>
      <c r="C22" s="8">
        <f>(C20-C23)/C21</f>
        <v>21.5494173500216</v>
      </c>
      <c r="D22" s="8">
        <f>(D20-D23)/D21</f>
        <v>12.8363324764353</v>
      </c>
      <c r="N22" s="8">
        <f t="shared" si="7"/>
        <v>34.3857498264569</v>
      </c>
      <c r="O22" s="3" t="s">
        <v>8</v>
      </c>
      <c r="P22" s="17">
        <f>P21/(C20-C23)</f>
        <v>0.167318617635202</v>
      </c>
      <c r="Q22" s="5" t="s">
        <v>22</v>
      </c>
      <c r="R22" s="3">
        <f t="shared" ref="R22:R24" si="8">SUM(S22:W22)</f>
        <v>21.55</v>
      </c>
      <c r="S22" s="7">
        <v>21.55</v>
      </c>
      <c r="T22" s="7"/>
      <c r="U22" s="7"/>
      <c r="V22" s="7"/>
      <c r="W22" s="7"/>
    </row>
    <row r="23" s="3" customFormat="1" customHeight="1" spans="2:19">
      <c r="B23" s="3" t="s">
        <v>2</v>
      </c>
      <c r="C23" s="8">
        <f>ROUNDDOWN(0.0015*C20,2)</f>
        <v>0.07</v>
      </c>
      <c r="D23" s="8">
        <f>ROUNDDOWN(0.0015*D20,2)</f>
        <v>0.04</v>
      </c>
      <c r="N23" s="3">
        <f t="shared" ref="N23:N26" si="9">SUM(C23:M23)</f>
        <v>0.11</v>
      </c>
      <c r="P23" s="4"/>
      <c r="Q23" s="5" t="s">
        <v>2</v>
      </c>
      <c r="R23" s="3">
        <f t="shared" si="8"/>
        <v>0</v>
      </c>
      <c r="S23" s="8">
        <f>ROUNDDOWN(0.005*S21*S22,2)</f>
        <v>0</v>
      </c>
    </row>
    <row r="24" s="2" customFormat="1" customHeight="1" spans="1:19">
      <c r="A24" s="2">
        <v>519008</v>
      </c>
      <c r="B24" s="2" t="s">
        <v>28</v>
      </c>
      <c r="C24" s="9">
        <v>10</v>
      </c>
      <c r="D24" s="9">
        <v>10</v>
      </c>
      <c r="E24" s="9"/>
      <c r="F24" s="9"/>
      <c r="G24" s="9"/>
      <c r="H24" s="9"/>
      <c r="I24" s="9"/>
      <c r="J24" s="9"/>
      <c r="K24" s="9"/>
      <c r="L24" s="9"/>
      <c r="M24" s="9"/>
      <c r="N24" s="2">
        <f t="shared" si="9"/>
        <v>20</v>
      </c>
      <c r="O24" s="18" t="s">
        <v>17</v>
      </c>
      <c r="P24" s="19">
        <v>2.876</v>
      </c>
      <c r="Q24" s="24" t="s">
        <v>18</v>
      </c>
      <c r="R24" s="8">
        <f t="shared" si="8"/>
        <v>0</v>
      </c>
      <c r="S24" s="23">
        <f>S25*S26-S27</f>
        <v>0</v>
      </c>
    </row>
    <row r="25" customFormat="1" customHeight="1" spans="1:23">
      <c r="A25" s="3"/>
      <c r="B25" s="3" t="s">
        <v>19</v>
      </c>
      <c r="C25" s="7">
        <v>2.7533</v>
      </c>
      <c r="D25" s="10">
        <v>2.6946</v>
      </c>
      <c r="E25" s="10"/>
      <c r="F25" s="10"/>
      <c r="G25" s="10"/>
      <c r="H25" s="10"/>
      <c r="I25" s="10"/>
      <c r="J25" s="10"/>
      <c r="K25" s="10"/>
      <c r="L25" s="10"/>
      <c r="M25" s="10"/>
      <c r="N25" s="11">
        <f>(N24-N27)/N26</f>
        <v>2.72363375979735</v>
      </c>
      <c r="O25" s="3" t="s">
        <v>20</v>
      </c>
      <c r="P25" s="15">
        <f>(N26*P24)-N24-N27</f>
        <v>1.07772644479021</v>
      </c>
      <c r="Q25" s="21" t="s">
        <v>21</v>
      </c>
      <c r="R25" s="3"/>
      <c r="S25" s="10"/>
      <c r="T25" s="10"/>
      <c r="U25" s="10"/>
      <c r="V25" s="10"/>
      <c r="W25" s="10"/>
    </row>
    <row r="26" s="3" customFormat="1" customHeight="1" spans="2:23">
      <c r="B26" s="3" t="s">
        <v>22</v>
      </c>
      <c r="C26" s="8">
        <f>(C24-C27)/C25</f>
        <v>3.62837322485744</v>
      </c>
      <c r="D26" s="8">
        <f>(D24-D27)/D25</f>
        <v>3.70741482965932</v>
      </c>
      <c r="N26" s="8">
        <f t="shared" si="9"/>
        <v>7.33578805451676</v>
      </c>
      <c r="O26" s="3" t="s">
        <v>8</v>
      </c>
      <c r="P26" s="17">
        <f>P25/(C24-C27)</f>
        <v>0.107880525004025</v>
      </c>
      <c r="Q26" s="5" t="s">
        <v>22</v>
      </c>
      <c r="R26" s="3">
        <f t="shared" ref="R26:R28" si="10">SUM(S26:W26)</f>
        <v>3.63</v>
      </c>
      <c r="S26" s="7">
        <v>3.63</v>
      </c>
      <c r="T26" s="7"/>
      <c r="U26" s="7"/>
      <c r="V26" s="7"/>
      <c r="W26" s="7"/>
    </row>
    <row r="27" s="3" customFormat="1" customHeight="1" spans="2:19">
      <c r="B27" s="3" t="s">
        <v>2</v>
      </c>
      <c r="C27" s="8">
        <f>ROUNDDOWN(0.0015*C24,2)</f>
        <v>0.01</v>
      </c>
      <c r="D27" s="8">
        <f>ROUNDDOWN(0.0015*D24,2)</f>
        <v>0.01</v>
      </c>
      <c r="N27" s="3">
        <f t="shared" ref="N27:N31" si="11">SUM(C27:M27)</f>
        <v>0.02</v>
      </c>
      <c r="P27" s="4"/>
      <c r="Q27" s="5" t="s">
        <v>2</v>
      </c>
      <c r="R27" s="3">
        <f t="shared" si="10"/>
        <v>0</v>
      </c>
      <c r="S27" s="8">
        <f>ROUNDDOWN(0.005*S25*S26,2)</f>
        <v>0</v>
      </c>
    </row>
    <row r="28" s="2" customFormat="1" customHeight="1" spans="1:19">
      <c r="A28" s="2">
        <v>161032</v>
      </c>
      <c r="B28" s="2" t="s">
        <v>29</v>
      </c>
      <c r="C28" s="9">
        <v>10</v>
      </c>
      <c r="D28" s="9">
        <v>10</v>
      </c>
      <c r="E28" s="9"/>
      <c r="F28" s="9"/>
      <c r="G28" s="9"/>
      <c r="H28" s="9"/>
      <c r="I28" s="9"/>
      <c r="J28" s="9"/>
      <c r="K28" s="9"/>
      <c r="L28" s="9"/>
      <c r="M28" s="9"/>
      <c r="N28" s="2">
        <f t="shared" si="11"/>
        <v>20</v>
      </c>
      <c r="O28" s="18" t="s">
        <v>17</v>
      </c>
      <c r="P28" s="19">
        <v>0.7994</v>
      </c>
      <c r="Q28" s="24" t="s">
        <v>18</v>
      </c>
      <c r="R28" s="8">
        <f t="shared" si="10"/>
        <v>0</v>
      </c>
      <c r="S28" s="23">
        <f>S29*S30-S31</f>
        <v>0</v>
      </c>
    </row>
    <row r="29" customHeight="1" spans="2:23">
      <c r="B29" s="3" t="s">
        <v>19</v>
      </c>
      <c r="C29" s="7">
        <v>0.786</v>
      </c>
      <c r="D29" s="7">
        <v>0.776</v>
      </c>
      <c r="E29" s="7"/>
      <c r="F29" s="7"/>
      <c r="G29" s="7"/>
      <c r="H29" s="7"/>
      <c r="I29" s="7"/>
      <c r="J29" s="7"/>
      <c r="K29" s="7"/>
      <c r="L29" s="7"/>
      <c r="M29" s="7"/>
      <c r="N29" s="11">
        <f>(N28-N31)/N30</f>
        <v>0.780967989756722</v>
      </c>
      <c r="O29" s="3" t="s">
        <v>20</v>
      </c>
      <c r="P29" s="15">
        <f>(N30*P28)-N28-N31</f>
        <v>0.472029852312374</v>
      </c>
      <c r="Q29" s="21" t="s">
        <v>21</v>
      </c>
      <c r="S29" s="7"/>
      <c r="T29" s="7"/>
      <c r="U29" s="7"/>
      <c r="V29" s="7"/>
      <c r="W29" s="7"/>
    </row>
    <row r="30" customHeight="1" spans="2:23">
      <c r="B30" s="3" t="s">
        <v>22</v>
      </c>
      <c r="C30" s="8">
        <f>(C28-C31)/C29</f>
        <v>12.7226463104326</v>
      </c>
      <c r="D30" s="8">
        <f>(D28-D31)/D29</f>
        <v>12.8865979381443</v>
      </c>
      <c r="N30" s="8">
        <f t="shared" si="11"/>
        <v>25.6092442485769</v>
      </c>
      <c r="O30" s="3" t="s">
        <v>8</v>
      </c>
      <c r="P30" s="17">
        <f>P29/(C28-C31)</f>
        <v>0.0472029852312374</v>
      </c>
      <c r="Q30" s="5" t="s">
        <v>22</v>
      </c>
      <c r="R30" s="3">
        <f>SUM(S30:W30)</f>
        <v>12.72</v>
      </c>
      <c r="S30" s="7">
        <v>12.72</v>
      </c>
      <c r="T30" s="7"/>
      <c r="U30" s="7"/>
      <c r="V30" s="7"/>
      <c r="W30" s="7"/>
    </row>
    <row r="31" customHeight="1" spans="2:19">
      <c r="B31" s="3" t="s">
        <v>2</v>
      </c>
      <c r="C31" s="3">
        <v>0</v>
      </c>
      <c r="D31" s="3">
        <v>0</v>
      </c>
      <c r="N31" s="3">
        <f t="shared" si="11"/>
        <v>0</v>
      </c>
      <c r="Q31" s="5" t="s">
        <v>2</v>
      </c>
      <c r="R31" s="3">
        <f>SUM(S31:W31)</f>
        <v>0</v>
      </c>
      <c r="S31" s="8">
        <f>ROUNDDOWN(0.005*S29*S30,2)</f>
        <v>0</v>
      </c>
    </row>
    <row r="32" customHeight="1" spans="1:1">
      <c r="A32" s="3" t="s">
        <v>30</v>
      </c>
    </row>
    <row r="35" customHeight="1" spans="3:10">
      <c r="C35" s="3" t="s">
        <v>31</v>
      </c>
      <c r="D35" s="3" t="s">
        <v>32</v>
      </c>
      <c r="E35" s="3" t="s">
        <v>33</v>
      </c>
      <c r="F35" s="3" t="s">
        <v>34</v>
      </c>
      <c r="G35" s="3" t="s">
        <v>35</v>
      </c>
      <c r="H35" s="3" t="s">
        <v>36</v>
      </c>
      <c r="I35" s="3" t="s">
        <v>37</v>
      </c>
      <c r="J35" s="3" t="s">
        <v>38</v>
      </c>
    </row>
    <row r="36" customHeight="1" spans="1:10">
      <c r="A36" s="3" t="s">
        <v>39</v>
      </c>
      <c r="B36" s="3" t="s">
        <v>16</v>
      </c>
      <c r="C36" s="11">
        <f>N5</f>
        <v>4.36975457642674</v>
      </c>
      <c r="D36" s="8">
        <f>N6</f>
        <v>15.9963217103966</v>
      </c>
      <c r="E36" s="3">
        <f>P4</f>
        <v>4.7678</v>
      </c>
      <c r="F36" s="3">
        <v>100</v>
      </c>
      <c r="G36" s="8">
        <f>F36/E36</f>
        <v>20.9740341457276</v>
      </c>
      <c r="H36" s="11">
        <f>(N4+F36)/(D36+G36)</f>
        <v>4.59827870366142</v>
      </c>
      <c r="I36" s="11">
        <f>H36-C36</f>
        <v>0.228524127234677</v>
      </c>
      <c r="J36" s="20">
        <f>I36/H36</f>
        <v>0.0496977547386836</v>
      </c>
    </row>
    <row r="37" customHeight="1" spans="2:10">
      <c r="B37" s="3" t="s">
        <v>23</v>
      </c>
      <c r="C37" s="11">
        <f>N9</f>
        <v>2.59712944057568</v>
      </c>
      <c r="D37" s="8">
        <f>N10</f>
        <v>7.6931090487239</v>
      </c>
      <c r="E37" s="3">
        <f>P8</f>
        <v>2.8329</v>
      </c>
      <c r="F37" s="3">
        <v>100</v>
      </c>
      <c r="G37" s="8">
        <f t="shared" ref="G37:G42" si="12">F37/E37</f>
        <v>35.2995163966254</v>
      </c>
      <c r="H37" s="11">
        <f>(N8+F37)/(D37+G37)</f>
        <v>2.79117636471259</v>
      </c>
      <c r="I37" s="11">
        <f t="shared" ref="I37:I42" si="13">H37-C37</f>
        <v>0.194046924136911</v>
      </c>
      <c r="J37" s="20">
        <f t="shared" ref="J37:J42" si="14">I37/H37</f>
        <v>0.0695215560686692</v>
      </c>
    </row>
    <row r="38" customHeight="1" spans="2:10">
      <c r="B38" s="3" t="s">
        <v>24</v>
      </c>
      <c r="C38" s="11">
        <f>N13</f>
        <v>1.620920108022</v>
      </c>
      <c r="D38" s="8">
        <f>N14</f>
        <v>92.404307441639</v>
      </c>
      <c r="E38" s="3">
        <f>P12</f>
        <v>1.6853</v>
      </c>
      <c r="F38" s="3">
        <v>100</v>
      </c>
      <c r="G38" s="8">
        <f t="shared" si="12"/>
        <v>59.33661662612</v>
      </c>
      <c r="H38" s="11">
        <f>(N12+F38)/(D38+G38)</f>
        <v>1.64754499510207</v>
      </c>
      <c r="I38" s="11">
        <f t="shared" si="13"/>
        <v>0.0266248870800656</v>
      </c>
      <c r="J38" s="20">
        <f t="shared" si="14"/>
        <v>0.0161603398749156</v>
      </c>
    </row>
    <row r="39" customHeight="1" spans="2:10">
      <c r="B39" s="3" t="s">
        <v>26</v>
      </c>
      <c r="C39" s="11">
        <f>N17</f>
        <v>12.0646915872358</v>
      </c>
      <c r="D39" s="8">
        <f>N18</f>
        <v>3.31048661386883</v>
      </c>
      <c r="E39" s="3">
        <f>P16</f>
        <v>12.6582</v>
      </c>
      <c r="F39" s="3">
        <v>100</v>
      </c>
      <c r="G39" s="8">
        <f t="shared" si="12"/>
        <v>7.90001738003824</v>
      </c>
      <c r="H39" s="11">
        <f>(N16+F39)/(D39+G39)</f>
        <v>12.4882877769002</v>
      </c>
      <c r="I39" s="11">
        <f t="shared" si="13"/>
        <v>0.423596189664403</v>
      </c>
      <c r="J39" s="20">
        <f t="shared" si="14"/>
        <v>0.0339194769716899</v>
      </c>
    </row>
    <row r="40" customHeight="1" spans="2:10">
      <c r="B40" s="3" t="s">
        <v>27</v>
      </c>
      <c r="C40" s="11">
        <f>N21</f>
        <v>2.32334616529233</v>
      </c>
      <c r="D40" s="8">
        <f>N22</f>
        <v>34.3857498264569</v>
      </c>
      <c r="E40" s="3">
        <f>P20</f>
        <v>2.5727</v>
      </c>
      <c r="F40" s="3">
        <v>100</v>
      </c>
      <c r="G40" s="8">
        <f t="shared" si="12"/>
        <v>38.8696699965017</v>
      </c>
      <c r="H40" s="11">
        <f>(N20+F40)/(D40+G40)</f>
        <v>2.45715607712055</v>
      </c>
      <c r="I40" s="11">
        <f t="shared" si="13"/>
        <v>0.133809911828221</v>
      </c>
      <c r="J40" s="20">
        <f t="shared" si="14"/>
        <v>0.0544572292636079</v>
      </c>
    </row>
    <row r="41" customHeight="1" spans="2:10">
      <c r="B41" s="3" t="s">
        <v>28</v>
      </c>
      <c r="C41" s="11">
        <f>N25</f>
        <v>2.72363375979735</v>
      </c>
      <c r="D41" s="8">
        <f>N26</f>
        <v>7.33578805451676</v>
      </c>
      <c r="E41" s="3">
        <f>P24</f>
        <v>2.876</v>
      </c>
      <c r="F41" s="3">
        <v>100</v>
      </c>
      <c r="G41" s="8">
        <f t="shared" si="12"/>
        <v>34.7705146036161</v>
      </c>
      <c r="H41" s="11">
        <f>(N24+F41)/(D41+G41)</f>
        <v>2.84992964056467</v>
      </c>
      <c r="I41" s="11">
        <f t="shared" si="13"/>
        <v>0.126295880767316</v>
      </c>
      <c r="J41" s="20">
        <f t="shared" si="14"/>
        <v>0.0443154381672007</v>
      </c>
    </row>
    <row r="42" customHeight="1" spans="2:10">
      <c r="B42" s="3" t="s">
        <v>29</v>
      </c>
      <c r="C42" s="11">
        <f>N29</f>
        <v>0.780967989756722</v>
      </c>
      <c r="D42" s="8">
        <f>N30</f>
        <v>25.6092442485769</v>
      </c>
      <c r="E42" s="3">
        <f>P28</f>
        <v>0.7994</v>
      </c>
      <c r="F42" s="3">
        <v>100</v>
      </c>
      <c r="G42" s="8">
        <f t="shared" si="12"/>
        <v>125.093820365274</v>
      </c>
      <c r="H42" s="11">
        <f>(N28+F42)/(D42+G42)</f>
        <v>0.796267815173355</v>
      </c>
      <c r="I42" s="11">
        <f t="shared" si="13"/>
        <v>0.0152998254166329</v>
      </c>
      <c r="J42" s="20">
        <f t="shared" si="14"/>
        <v>0.0192144214861955</v>
      </c>
    </row>
    <row r="43" customHeight="1" spans="2:10">
      <c r="B43" s="12" t="s">
        <v>40</v>
      </c>
      <c r="C43" s="12"/>
      <c r="D43" s="12"/>
      <c r="E43" s="12"/>
      <c r="F43" s="12"/>
      <c r="G43" s="12"/>
      <c r="H43" s="12"/>
      <c r="I43" s="12"/>
      <c r="J43" s="12"/>
    </row>
    <row r="44" customHeight="1" spans="2:10">
      <c r="B44" s="12"/>
      <c r="C44" s="12"/>
      <c r="D44" s="12"/>
      <c r="E44" s="12"/>
      <c r="F44" s="12"/>
      <c r="G44" s="12"/>
      <c r="H44" s="12"/>
      <c r="I44" s="12"/>
      <c r="J44" s="12"/>
    </row>
  </sheetData>
  <mergeCells count="10">
    <mergeCell ref="A1:K1"/>
    <mergeCell ref="B2:K2"/>
    <mergeCell ref="A4:A7"/>
    <mergeCell ref="A8:A11"/>
    <mergeCell ref="A12:A15"/>
    <mergeCell ref="A16:A19"/>
    <mergeCell ref="A20:A23"/>
    <mergeCell ref="A24:A27"/>
    <mergeCell ref="A28:A31"/>
    <mergeCell ref="B43:J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第六天大魔王</cp:lastModifiedBy>
  <dcterms:created xsi:type="dcterms:W3CDTF">2020-03-17T03:03:00Z</dcterms:created>
  <dcterms:modified xsi:type="dcterms:W3CDTF">2020-03-30T03:27:22Z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